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4325" yWindow="30" windowWidth="13920" windowHeight="11760"/>
  </bookViews>
  <sheets>
    <sheet name="End of Service KSA" sheetId="1" r:id="rId1"/>
    <sheet name="Example" sheetId="2" r:id="rId2"/>
  </sheets>
  <definedNames>
    <definedName name="_xlnm.Print_Area" localSheetId="0">'End of Service KSA'!$B$2:$W$48</definedName>
  </definedNames>
  <calcPr calcId="144525"/>
  <customWorkbookViews>
    <customWorkbookView name="Hussien Datu - Personal View" guid="{7B07F40D-B1B8-4D63-B6C2-29767518D60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K13" i="1" l="1"/>
  <c r="Y19" i="1" l="1"/>
  <c r="Y17" i="1" l="1"/>
  <c r="AE25" i="1" l="1"/>
  <c r="Y21" i="1" l="1"/>
  <c r="AC21" i="1"/>
  <c r="AM25" i="1"/>
  <c r="AM24" i="1"/>
  <c r="Z23" i="1"/>
  <c r="Z27" i="1"/>
  <c r="AE24" i="1"/>
  <c r="AM23" i="1" l="1"/>
  <c r="F34" i="1" s="1"/>
  <c r="AE23" i="1"/>
  <c r="BB29" i="1" l="1"/>
  <c r="AR29" i="1"/>
  <c r="BB28" i="1"/>
  <c r="AR28" i="1"/>
  <c r="BD28" i="1"/>
  <c r="BD30" i="1" s="1"/>
  <c r="BD29" i="1"/>
  <c r="AZ29" i="1"/>
  <c r="AF29" i="1"/>
  <c r="AP29" i="1"/>
  <c r="AN29" i="1"/>
  <c r="AX29" i="1" s="1"/>
  <c r="AN28" i="1"/>
  <c r="AN30" i="1" s="1"/>
  <c r="D37" i="1"/>
  <c r="D28" i="1"/>
  <c r="D32" i="1"/>
  <c r="AH29" i="1"/>
  <c r="AH28" i="1"/>
  <c r="AT29" i="1"/>
  <c r="AJ29" i="1"/>
  <c r="AJ28" i="1"/>
  <c r="AT28" i="1"/>
  <c r="AT30" i="1" s="1"/>
  <c r="E34" i="1"/>
  <c r="E39" i="1"/>
  <c r="F35" i="1"/>
  <c r="E35" i="1"/>
  <c r="G30" i="1"/>
  <c r="F30" i="1"/>
  <c r="F29" i="1"/>
  <c r="E29" i="1"/>
  <c r="BH29" i="1" l="1"/>
  <c r="AF34" i="1" s="1"/>
  <c r="AX28" i="1"/>
  <c r="BB30" i="1"/>
  <c r="BN29" i="1"/>
  <c r="AR30" i="1"/>
  <c r="BJ29" i="1"/>
  <c r="BJ28" i="1"/>
  <c r="BJ30" i="1" s="1"/>
  <c r="AJ30" i="1"/>
  <c r="AH30" i="1"/>
  <c r="BV29" i="1" l="1"/>
  <c r="BR29" i="1"/>
  <c r="BH28" i="1"/>
  <c r="AX30" i="1"/>
  <c r="AF32" i="1"/>
  <c r="AF35" i="1" s="1"/>
  <c r="BN28" i="1"/>
  <c r="BN30" i="1" s="1"/>
  <c r="BJ27" i="1"/>
  <c r="AF27" i="1" l="1"/>
  <c r="F39" i="1" s="1"/>
  <c r="G40" i="1" s="1"/>
  <c r="BR28" i="1"/>
  <c r="BR27" i="1" s="1"/>
  <c r="BN27" i="1"/>
  <c r="BV28" i="1"/>
  <c r="BH30" i="1"/>
  <c r="P40" i="1" l="1"/>
  <c r="K40" i="1"/>
  <c r="L40" i="1"/>
  <c r="E41" i="1"/>
  <c r="Q40" i="1"/>
  <c r="E40" i="1"/>
  <c r="BV27" i="1"/>
  <c r="G41" i="1" s="1"/>
  <c r="BV30" i="1"/>
  <c r="BR30" i="1"/>
</calcChain>
</file>

<file path=xl/sharedStrings.xml><?xml version="1.0" encoding="utf-8"?>
<sst xmlns="http://schemas.openxmlformats.org/spreadsheetml/2006/main" count="32" uniqueCount="32">
  <si>
    <t>As per Saudi Labor Law</t>
  </si>
  <si>
    <t>INPUT:</t>
  </si>
  <si>
    <t>End of Service Benefits</t>
  </si>
  <si>
    <t>OUTPUT:</t>
  </si>
  <si>
    <t xml:space="preserve">Contract Start Date: </t>
  </si>
  <si>
    <t>As of Today</t>
  </si>
  <si>
    <t xml:space="preserve">Select Contract End Date: </t>
  </si>
  <si>
    <t>Contract End Date is</t>
  </si>
  <si>
    <t>Category:</t>
  </si>
  <si>
    <t>sen_datu@yahoo.com</t>
  </si>
  <si>
    <t>You may forward you comments at:</t>
  </si>
  <si>
    <t>Contract is finished</t>
  </si>
  <si>
    <t>Due to resignation by employee</t>
  </si>
  <si>
    <t>By Force (by the company)</t>
  </si>
  <si>
    <t>or hussien.datu@daralriyadh.com</t>
  </si>
  <si>
    <r>
      <t xml:space="preserve">Housing Allow </t>
    </r>
    <r>
      <rPr>
        <b/>
        <u/>
        <sz val="11"/>
        <color theme="1"/>
        <rFont val="Calibri"/>
        <family val="2"/>
        <scheme val="minor"/>
      </rPr>
      <t>Per Month</t>
    </r>
    <r>
      <rPr>
        <b/>
        <sz val="11"/>
        <color theme="1"/>
        <rFont val="Calibri"/>
        <family val="2"/>
        <scheme val="minor"/>
      </rPr>
      <t>:</t>
    </r>
  </si>
  <si>
    <t>Transpo Allow Per month:</t>
  </si>
  <si>
    <t>Basic Salary Per month:</t>
  </si>
  <si>
    <t>(i.e. = Basic*3/12months)</t>
  </si>
  <si>
    <r>
      <t xml:space="preserve">This excel program is intended to help you in forecasting your End of Service Benefits.
</t>
    </r>
    <r>
      <rPr>
        <b/>
        <sz val="11"/>
        <color rgb="FF0000FF"/>
        <rFont val="Calibri"/>
        <family val="2"/>
        <scheme val="minor"/>
      </rPr>
      <t xml:space="preserve">Excluding: Payments for any Leave days (i.e.Accrued/Holidays), Indemnity &amp;
other compensations. </t>
    </r>
    <r>
      <rPr>
        <b/>
        <u/>
        <sz val="11"/>
        <color rgb="FF0000FF"/>
        <rFont val="Calibri"/>
        <family val="2"/>
        <scheme val="minor"/>
      </rPr>
      <t>Please use this as a reference only</t>
    </r>
    <r>
      <rPr>
        <b/>
        <sz val="11"/>
        <color rgb="FF0000FF"/>
        <rFont val="Calibri"/>
        <family val="2"/>
        <scheme val="minor"/>
      </rPr>
      <t>.</t>
    </r>
  </si>
  <si>
    <r>
      <t xml:space="preserve">Did not complete 2 years:  </t>
    </r>
    <r>
      <rPr>
        <sz val="11"/>
        <color rgb="FF141414"/>
        <rFont val="Georgia"/>
        <family val="1"/>
      </rPr>
      <t>Not entitled to end-of-service-benefits.</t>
    </r>
  </si>
  <si>
    <r>
      <t xml:space="preserve">Before completing 5 years:  </t>
    </r>
    <r>
      <rPr>
        <sz val="11"/>
        <color rgb="FF141414"/>
        <rFont val="Georgia"/>
        <family val="1"/>
      </rPr>
      <t>1/3 of the end-of-service benefits</t>
    </r>
  </si>
  <si>
    <r>
      <t xml:space="preserve">Before completing 10 years:  </t>
    </r>
    <r>
      <rPr>
        <sz val="11"/>
        <color rgb="FF141414"/>
        <rFont val="Georgia"/>
        <family val="1"/>
      </rPr>
      <t>2/3 of the end-of-service benefit</t>
    </r>
  </si>
  <si>
    <r>
      <t xml:space="preserve">Completed 10 years:  </t>
    </r>
    <r>
      <rPr>
        <sz val="11"/>
        <color rgb="FF141414"/>
        <rFont val="Georgia"/>
        <family val="1"/>
      </rPr>
      <t>Full end-of-service benefits.</t>
    </r>
  </si>
  <si>
    <r>
      <t>0 – 5 years (Contract is finished):</t>
    </r>
    <r>
      <rPr>
        <sz val="11"/>
        <color rgb="FF141414"/>
        <rFont val="Georgia"/>
        <family val="1"/>
      </rPr>
      <t xml:space="preserve"> ½ month Salary for every year of service + payment for any leave days that have accrued and have not been used.</t>
    </r>
  </si>
  <si>
    <r>
      <t>5- 10 years (Contract is finished):</t>
    </r>
    <r>
      <rPr>
        <sz val="11"/>
        <color rgb="FF141414"/>
        <rFont val="Georgia"/>
        <family val="1"/>
      </rPr>
      <t xml:space="preserve"> ½ Month Salary for every year of first 5 years of service then 1 month salary for the following years of service + payment for any leave days that have accrued and have not been used.</t>
    </r>
  </si>
  <si>
    <r>
      <t>10 years – above (Contract is finished):</t>
    </r>
    <r>
      <rPr>
        <sz val="11"/>
        <color rgb="FF141414"/>
        <rFont val="Georgia"/>
        <family val="1"/>
      </rPr>
      <t xml:space="preserve"> ½ Month Salary for every year of first 5 years of service then 1 month salary for the following years of service + payment for any leave days that have accrued and have not been used.</t>
    </r>
  </si>
  <si>
    <r>
      <t xml:space="preserve">CASE </t>
    </r>
    <r>
      <rPr>
        <b/>
        <u/>
        <sz val="14"/>
        <color rgb="FF141414"/>
        <rFont val="Calibri"/>
        <family val="2"/>
        <scheme val="minor"/>
      </rPr>
      <t>1</t>
    </r>
    <r>
      <rPr>
        <b/>
        <u/>
        <sz val="11"/>
        <color rgb="FF141414"/>
        <rFont val="Georgia"/>
        <family val="1"/>
      </rPr>
      <t>:  When Contract is Finished</t>
    </r>
  </si>
  <si>
    <r>
      <t xml:space="preserve">CASE </t>
    </r>
    <r>
      <rPr>
        <b/>
        <u/>
        <sz val="14"/>
        <color rgb="FF141414"/>
        <rFont val="Calibri"/>
        <family val="2"/>
        <scheme val="minor"/>
      </rPr>
      <t>2</t>
    </r>
    <r>
      <rPr>
        <b/>
        <u/>
        <sz val="11"/>
        <color rgb="FF141414"/>
        <rFont val="Georgia"/>
        <family val="1"/>
      </rPr>
      <t>:  Due to Resignation of Employees</t>
    </r>
  </si>
  <si>
    <t>Click here to Back</t>
  </si>
  <si>
    <r>
      <t xml:space="preserve">Put </t>
    </r>
    <r>
      <rPr>
        <b/>
        <u/>
        <sz val="10"/>
        <color theme="1"/>
        <rFont val="Calibri"/>
        <family val="2"/>
        <scheme val="minor"/>
      </rPr>
      <t>ZERO</t>
    </r>
    <r>
      <rPr>
        <b/>
        <sz val="9"/>
        <color theme="1"/>
        <rFont val="Calibri"/>
        <family val="2"/>
        <scheme val="minor"/>
      </rPr>
      <t xml:space="preserve">  For No Transpo &amp; Housing</t>
    </r>
  </si>
  <si>
    <t xml:space="preserve">Click here for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</si>
</sst>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SR &quot;#,##0.00"/>
    <numFmt numFmtId="165" formatCode="mmm\-dd\-yyyy"/>
    <numFmt numFmtId="166" formatCode="0.00\ &quot;Yrs.&quot;"/>
    <numFmt numFmtId="167" formatCode="0.000\ &quot;Yrs.&quot;"/>
    <numFmt numFmtId="168" formatCode="0.000"/>
    <numFmt numFmtId="169" formatCode="&quot;SR &quot;#,##0.00\ &quot; per month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41414"/>
      <name val="Georgia"/>
      <family val="1"/>
    </font>
    <font>
      <sz val="11"/>
      <color rgb="FF141414"/>
      <name val="Georgia"/>
      <family val="1"/>
    </font>
    <font>
      <b/>
      <u/>
      <sz val="11"/>
      <color rgb="FF141414"/>
      <name val="Georgia"/>
      <family val="1"/>
    </font>
    <font>
      <b/>
      <u/>
      <sz val="14"/>
      <color rgb="FF1414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0" fontId="0" fillId="5" borderId="4" xfId="0" applyFill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0" xfId="0" quotePrefix="1" applyFont="1" applyFill="1" applyBorder="1" applyAlignment="1" applyProtection="1">
      <alignment horizontal="center" vertical="center"/>
      <protection hidden="1"/>
    </xf>
    <xf numFmtId="166" fontId="1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0" fillId="5" borderId="7" xfId="0" applyFill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8" fontId="1" fillId="4" borderId="0" xfId="0" applyNumberFormat="1" applyFont="1" applyFill="1" applyBorder="1" applyAlignment="1" applyProtection="1">
      <protection hidden="1"/>
    </xf>
    <xf numFmtId="3" fontId="1" fillId="4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166" fontId="12" fillId="0" borderId="0" xfId="0" applyNumberFormat="1" applyFont="1" applyFill="1" applyBorder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7" fontId="12" fillId="0" borderId="0" xfId="0" applyNumberFormat="1" applyFont="1" applyFill="1" applyBorder="1" applyAlignment="1" applyProtection="1">
      <alignment horizontal="center" vertical="center"/>
      <protection hidden="1"/>
    </xf>
    <xf numFmtId="168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1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165" fontId="1" fillId="3" borderId="9" xfId="0" applyNumberFormat="1" applyFont="1" applyFill="1" applyBorder="1" applyAlignment="1" applyProtection="1">
      <alignment horizontal="center" vertical="center"/>
      <protection locked="0"/>
    </xf>
    <xf numFmtId="165" fontId="1" fillId="3" borderId="11" xfId="0" applyNumberFormat="1" applyFont="1" applyFill="1" applyBorder="1" applyAlignment="1" applyProtection="1">
      <alignment horizontal="center" vertical="center"/>
      <protection locked="0"/>
    </xf>
    <xf numFmtId="165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vertical="center" indent="1"/>
      <protection hidden="1"/>
    </xf>
    <xf numFmtId="0" fontId="1" fillId="3" borderId="11" xfId="0" applyFont="1" applyFill="1" applyBorder="1" applyAlignment="1" applyProtection="1">
      <alignment horizontal="left" vertical="center" indent="1"/>
      <protection hidden="1"/>
    </xf>
    <xf numFmtId="0" fontId="1" fillId="3" borderId="10" xfId="0" applyFont="1" applyFill="1" applyBorder="1" applyAlignment="1" applyProtection="1">
      <alignment horizontal="left" vertical="center" indent="1"/>
      <protection hidden="1"/>
    </xf>
    <xf numFmtId="164" fontId="1" fillId="4" borderId="0" xfId="0" applyNumberFormat="1" applyFont="1" applyFill="1" applyBorder="1" applyAlignment="1" applyProtection="1">
      <alignment horizontal="left"/>
      <protection hidden="1"/>
    </xf>
    <xf numFmtId="169" fontId="1" fillId="4" borderId="0" xfId="0" applyNumberFormat="1" applyFont="1" applyFill="1" applyBorder="1" applyAlignment="1" applyProtection="1">
      <alignment horizontal="left"/>
      <protection hidden="1"/>
    </xf>
    <xf numFmtId="167" fontId="1" fillId="4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left"/>
      <protection locked="0"/>
    </xf>
    <xf numFmtId="164" fontId="1" fillId="4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22" fillId="0" borderId="12" xfId="1" applyFont="1" applyBorder="1" applyAlignment="1" applyProtection="1">
      <alignment horizontal="center" vertical="center"/>
      <protection locked="0" hidden="1"/>
    </xf>
    <xf numFmtId="0" fontId="22" fillId="0" borderId="13" xfId="1" applyFont="1" applyBorder="1" applyAlignment="1" applyProtection="1">
      <alignment horizontal="center" vertical="center"/>
      <protection locked="0" hidden="1"/>
    </xf>
    <xf numFmtId="0" fontId="22" fillId="0" borderId="14" xfId="1" applyFont="1" applyBorder="1" applyAlignment="1" applyProtection="1">
      <alignment horizontal="center" vertical="center"/>
      <protection locked="0" hidden="1"/>
    </xf>
  </cellXfs>
  <cellStyles count="2">
    <cellStyle name="Hyperlink" xfId="1" builtinId="8"/>
    <cellStyle name="Normal" xfId="0" builtinId="0"/>
  </cellStyles>
  <dxfs count="13"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rgb="FFFFC000"/>
      </font>
    </dxf>
  </dxfs>
  <tableStyles count="0" defaultTableStyle="TableStyleMedium2" defaultPivotStyle="PivotStyleLight16"/>
  <colors>
    <mruColors>
      <color rgb="FF0000FF"/>
      <color rgb="FF5F5F5F"/>
      <color rgb="FF4D4D4D"/>
      <color rgb="FF777777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Y$27" fmlaRange="$Z$28:$Z$30" sel="2" val="0"/>
</file>

<file path=xl/ctrlProps/ctrlProp2.xml><?xml version="1.0" encoding="utf-8"?>
<formControlPr xmlns="http://schemas.microsoft.com/office/spreadsheetml/2009/9/main" objectType="Drop" dropLines="2" dropStyle="combo" dx="16" fmlaLink="$Y$23" fmlaRange="$Z$24:$Z$25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19050</xdr:rowOff>
        </xdr:from>
        <xdr:to>
          <xdr:col>13</xdr:col>
          <xdr:colOff>38100</xdr:colOff>
          <xdr:row>22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18</xdr:row>
          <xdr:rowOff>9525</xdr:rowOff>
        </xdr:from>
        <xdr:to>
          <xdr:col>8</xdr:col>
          <xdr:colOff>180975</xdr:colOff>
          <xdr:row>19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7913</xdr:rowOff>
    </xdr:from>
    <xdr:to>
      <xdr:col>32</xdr:col>
      <xdr:colOff>0</xdr:colOff>
      <xdr:row>59</xdr:row>
      <xdr:rowOff>90170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/>
        <a:srcRect l="33085" t="15503" r="12313" b="3216"/>
        <a:stretch/>
      </xdr:blipFill>
      <xdr:spPr bwMode="auto">
        <a:xfrm>
          <a:off x="200025" y="5780063"/>
          <a:ext cx="5781675" cy="65592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sen_datu@yahoo.com?subject=QUERIES%20ON%20END%20OF%20SERVICE%20BENEFITS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sen_datu@yahoo.com?subject=QUERIES%20ON%20END%20OF%20SERVICE%20BENEFITS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4"/>
  <sheetViews>
    <sheetView showGridLines="0" showRowColHeaders="0" tabSelected="1" zoomScaleNormal="100" workbookViewId="0">
      <selection activeCell="K9" sqref="K9:N9"/>
    </sheetView>
  </sheetViews>
  <sheetFormatPr defaultColWidth="3.28515625" defaultRowHeight="15" x14ac:dyDescent="0.25"/>
  <cols>
    <col min="1" max="1" width="5" style="1" customWidth="1"/>
    <col min="2" max="2" width="5.140625" style="1" customWidth="1"/>
    <col min="3" max="3" width="3.28515625" style="1"/>
    <col min="4" max="12" width="3.85546875" style="1" customWidth="1"/>
    <col min="13" max="21" width="3.85546875" style="2" customWidth="1"/>
    <col min="22" max="22" width="3.28515625" style="2"/>
    <col min="23" max="23" width="5.140625" style="2" customWidth="1"/>
    <col min="24" max="24" width="3.28515625" style="57"/>
    <col min="25" max="26" width="3.28515625" style="47" customWidth="1"/>
    <col min="27" max="31" width="3.28515625" style="47"/>
    <col min="32" max="34" width="3.28515625" style="47" customWidth="1"/>
    <col min="35" max="35" width="3.28515625" style="47"/>
    <col min="36" max="42" width="3.28515625" style="47" customWidth="1"/>
    <col min="43" max="49" width="3.28515625" style="47"/>
    <col min="50" max="77" width="3.28515625" style="42"/>
    <col min="78" max="16384" width="3.28515625" style="2"/>
  </cols>
  <sheetData>
    <row r="1" spans="2:39" ht="10.5" customHeight="1" x14ac:dyDescent="0.25"/>
    <row r="2" spans="2:39" ht="7.5" customHeight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39" ht="21" x14ac:dyDescent="0.35">
      <c r="B3" s="6"/>
      <c r="C3" s="83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7"/>
      <c r="Y3" s="102" t="s">
        <v>31</v>
      </c>
      <c r="Z3" s="103"/>
      <c r="AA3" s="103"/>
      <c r="AB3" s="103"/>
      <c r="AC3" s="103"/>
      <c r="AD3" s="103"/>
      <c r="AE3" s="104"/>
    </row>
    <row r="4" spans="2:39" ht="12.75" customHeight="1" x14ac:dyDescent="0.25">
      <c r="B4" s="6"/>
      <c r="C4" s="84" t="s">
        <v>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7"/>
    </row>
    <row r="5" spans="2:39" ht="7.5" customHeight="1" x14ac:dyDescent="0.25"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/>
    </row>
    <row r="6" spans="2:39" ht="9.75" customHeight="1" x14ac:dyDescent="0.25">
      <c r="B6" s="6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7"/>
      <c r="AL6" s="50"/>
      <c r="AM6" s="50"/>
    </row>
    <row r="7" spans="2:39" x14ac:dyDescent="0.25">
      <c r="B7" s="6"/>
      <c r="C7" s="12"/>
      <c r="D7" s="85" t="s">
        <v>1</v>
      </c>
      <c r="E7" s="86"/>
      <c r="F7" s="8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7"/>
    </row>
    <row r="8" spans="2:39" x14ac:dyDescent="0.25">
      <c r="B8" s="6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7"/>
    </row>
    <row r="9" spans="2:39" x14ac:dyDescent="0.25">
      <c r="B9" s="6"/>
      <c r="C9" s="12"/>
      <c r="D9" s="15" t="s">
        <v>17</v>
      </c>
      <c r="E9" s="13"/>
      <c r="F9" s="13"/>
      <c r="G9" s="13"/>
      <c r="H9" s="13"/>
      <c r="I9" s="13"/>
      <c r="J9" s="13"/>
      <c r="K9" s="79"/>
      <c r="L9" s="80"/>
      <c r="M9" s="80"/>
      <c r="N9" s="81"/>
      <c r="O9" s="13"/>
      <c r="P9" s="13"/>
      <c r="Q9" s="13"/>
      <c r="R9" s="13"/>
      <c r="S9" s="13"/>
      <c r="T9" s="13"/>
      <c r="U9" s="13"/>
      <c r="V9" s="14"/>
      <c r="W9" s="7"/>
      <c r="AE9" s="42"/>
      <c r="AF9" s="42"/>
    </row>
    <row r="10" spans="2:39" ht="9" customHeight="1" x14ac:dyDescent="0.25">
      <c r="B10" s="6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7"/>
    </row>
    <row r="11" spans="2:39" x14ac:dyDescent="0.25">
      <c r="B11" s="6"/>
      <c r="C11" s="12"/>
      <c r="D11" s="15" t="s">
        <v>16</v>
      </c>
      <c r="E11" s="13"/>
      <c r="F11" s="13"/>
      <c r="G11" s="13"/>
      <c r="H11" s="13"/>
      <c r="I11" s="13"/>
      <c r="J11" s="13"/>
      <c r="K11" s="79">
        <v>1200</v>
      </c>
      <c r="L11" s="80"/>
      <c r="M11" s="80"/>
      <c r="N11" s="81"/>
      <c r="O11" s="52" t="s">
        <v>30</v>
      </c>
      <c r="P11" s="13"/>
      <c r="Q11" s="13"/>
      <c r="R11" s="13"/>
      <c r="S11" s="13"/>
      <c r="T11" s="13"/>
      <c r="U11" s="13"/>
      <c r="V11" s="14"/>
      <c r="W11" s="7"/>
      <c r="AC11" s="42"/>
      <c r="AD11" s="42"/>
    </row>
    <row r="12" spans="2:39" ht="9" customHeight="1" x14ac:dyDescent="0.25">
      <c r="B12" s="6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7"/>
    </row>
    <row r="13" spans="2:39" x14ac:dyDescent="0.25">
      <c r="B13" s="6"/>
      <c r="C13" s="12"/>
      <c r="D13" s="15" t="s">
        <v>15</v>
      </c>
      <c r="E13" s="13"/>
      <c r="F13" s="13"/>
      <c r="G13" s="13"/>
      <c r="H13" s="13"/>
      <c r="I13" s="13"/>
      <c r="J13" s="13"/>
      <c r="K13" s="79">
        <f>K9*3/12</f>
        <v>0</v>
      </c>
      <c r="L13" s="80"/>
      <c r="M13" s="80"/>
      <c r="N13" s="81"/>
      <c r="O13" s="52" t="s">
        <v>18</v>
      </c>
      <c r="P13" s="13"/>
      <c r="Q13" s="13"/>
      <c r="R13" s="13"/>
      <c r="S13" s="13"/>
      <c r="T13" s="13"/>
      <c r="U13" s="13"/>
      <c r="V13" s="14"/>
      <c r="W13" s="7"/>
    </row>
    <row r="14" spans="2:39" ht="9" customHeight="1" x14ac:dyDescent="0.25">
      <c r="B14" s="6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7"/>
    </row>
    <row r="15" spans="2:39" x14ac:dyDescent="0.25">
      <c r="B15" s="6"/>
      <c r="C15" s="12"/>
      <c r="D15" s="15" t="s">
        <v>4</v>
      </c>
      <c r="E15" s="13"/>
      <c r="F15" s="13"/>
      <c r="G15" s="13"/>
      <c r="H15" s="13"/>
      <c r="I15" s="13"/>
      <c r="J15" s="88">
        <v>39712</v>
      </c>
      <c r="K15" s="89"/>
      <c r="L15" s="89"/>
      <c r="M15" s="89"/>
      <c r="N15" s="89"/>
      <c r="O15" s="90"/>
      <c r="P15" s="13"/>
      <c r="Q15" s="13"/>
      <c r="R15" s="13"/>
      <c r="S15" s="13"/>
      <c r="T15" s="13"/>
      <c r="U15" s="13"/>
      <c r="V15" s="14"/>
      <c r="W15" s="7"/>
    </row>
    <row r="16" spans="2:39" ht="6" customHeight="1" x14ac:dyDescent="0.25">
      <c r="B16" s="6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7"/>
    </row>
    <row r="17" spans="2:77" x14ac:dyDescent="0.25">
      <c r="B17" s="6"/>
      <c r="C17" s="12"/>
      <c r="D17" s="15" t="s">
        <v>6</v>
      </c>
      <c r="E17" s="13"/>
      <c r="F17" s="13"/>
      <c r="G17" s="13"/>
      <c r="H17" s="13"/>
      <c r="I17" s="13"/>
      <c r="J17" s="13"/>
      <c r="K17" s="13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7"/>
      <c r="Y17" s="82">
        <f>$K$9*3/12</f>
        <v>0</v>
      </c>
      <c r="Z17" s="82"/>
      <c r="AA17" s="82"/>
      <c r="AB17" s="82"/>
    </row>
    <row r="18" spans="2:77" ht="3" customHeight="1" x14ac:dyDescent="0.25">
      <c r="B18" s="6"/>
      <c r="C18" s="12"/>
      <c r="D18" s="13"/>
      <c r="E18" s="13"/>
      <c r="F18" s="13"/>
      <c r="G18" s="13"/>
      <c r="H18" s="13"/>
      <c r="I18" s="13"/>
      <c r="J18" s="13"/>
      <c r="K18" s="13"/>
      <c r="L18" s="16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7"/>
    </row>
    <row r="19" spans="2:77" x14ac:dyDescent="0.25">
      <c r="B19" s="6"/>
      <c r="C19" s="12"/>
      <c r="D19" s="13"/>
      <c r="E19" s="13"/>
      <c r="F19" s="13"/>
      <c r="G19" s="13"/>
      <c r="H19" s="13"/>
      <c r="I19" s="13"/>
      <c r="J19" s="88">
        <v>40444</v>
      </c>
      <c r="K19" s="89"/>
      <c r="L19" s="89"/>
      <c r="M19" s="89"/>
      <c r="N19" s="89"/>
      <c r="O19" s="90"/>
      <c r="P19" s="13"/>
      <c r="Q19" s="13"/>
      <c r="R19" s="13"/>
      <c r="S19" s="13"/>
      <c r="T19" s="13"/>
      <c r="U19" s="13"/>
      <c r="V19" s="14"/>
      <c r="W19" s="7"/>
      <c r="Y19" s="82">
        <f>$K$9+$K$11+K13</f>
        <v>1200</v>
      </c>
      <c r="Z19" s="82"/>
      <c r="AA19" s="82"/>
      <c r="AB19" s="82"/>
    </row>
    <row r="20" spans="2:77" ht="9" customHeight="1" x14ac:dyDescent="0.25">
      <c r="B20" s="6"/>
      <c r="C20" s="12"/>
      <c r="D20" s="13"/>
      <c r="E20" s="13"/>
      <c r="F20" s="13"/>
      <c r="G20" s="13"/>
      <c r="H20" s="13"/>
      <c r="I20" s="13"/>
      <c r="J20" s="13"/>
      <c r="K20" s="13"/>
      <c r="L20" s="16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7"/>
    </row>
    <row r="21" spans="2:77" x14ac:dyDescent="0.25">
      <c r="B21" s="6"/>
      <c r="C21" s="12"/>
      <c r="D21" s="15" t="s">
        <v>8</v>
      </c>
      <c r="E21" s="13"/>
      <c r="F21" s="13"/>
      <c r="G21" s="13"/>
      <c r="H21" s="13"/>
      <c r="I21" s="13"/>
      <c r="J21" s="13"/>
      <c r="K21" s="13"/>
      <c r="L21" s="16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7"/>
      <c r="Y21" s="77">
        <f ca="1">IF(OR($Y$27=1,$Y$27=3),((TODAY())-(365*2)+1),IF($Y$27=2,(TODAY()),""))</f>
        <v>42215</v>
      </c>
      <c r="Z21" s="77"/>
      <c r="AA21" s="77"/>
      <c r="AB21" s="77"/>
      <c r="AC21" s="72">
        <f>IF(OR(ISBLANK($K$9),ISBLANK(J15)),1,2)</f>
        <v>1</v>
      </c>
    </row>
    <row r="22" spans="2:77" x14ac:dyDescent="0.25">
      <c r="B22" s="6"/>
      <c r="C22" s="12"/>
      <c r="D22" s="13"/>
      <c r="E22" s="15"/>
      <c r="F22" s="15"/>
      <c r="G22" s="15"/>
      <c r="H22" s="15"/>
      <c r="I22" s="15"/>
      <c r="J22" s="13"/>
      <c r="K22" s="13"/>
      <c r="L22" s="16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7"/>
    </row>
    <row r="23" spans="2:77" ht="18" customHeight="1" x14ac:dyDescent="0.25">
      <c r="B23" s="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7"/>
      <c r="Y23" s="48">
        <v>1</v>
      </c>
      <c r="Z23" s="47" t="str">
        <f>IF($Y$23=1,$Z$24,IF($Y$23=2,$Z$25,""))</f>
        <v>As of Today</v>
      </c>
      <c r="AE23" s="78" t="str">
        <f ca="1">IF($Y$23=1,$AE$24,IF($Y$23=2,$AE$25,""))</f>
        <v>6 Years, 10 Months &amp; 9 Days</v>
      </c>
      <c r="AF23" s="78"/>
      <c r="AG23" s="78"/>
      <c r="AH23" s="78"/>
      <c r="AI23" s="78"/>
      <c r="AJ23" s="78"/>
      <c r="AK23" s="78"/>
      <c r="AL23" s="78"/>
      <c r="AM23" s="73">
        <f ca="1">IF($Y$23=1,$AM$24,IF($Y$23=2,$AM$25,""))</f>
        <v>6.8579999999999997</v>
      </c>
      <c r="AN23" s="73"/>
      <c r="AO23" s="73"/>
      <c r="AP23" s="73"/>
    </row>
    <row r="24" spans="2:77" ht="18.75" customHeight="1" x14ac:dyDescent="0.25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"/>
      <c r="Y24" s="72">
        <v>1</v>
      </c>
      <c r="Z24" s="47" t="s">
        <v>5</v>
      </c>
      <c r="AE24" s="78" t="str">
        <f ca="1">IF(ISBLANK($J$15),"",(""&amp;DATEDIF($J$15,TODAY(),"y")&amp;" Years, "&amp;DATEDIF($J$15,TODAY(),"ym")&amp;" Months &amp; "&amp;DATEDIF($J$15,TODAY(),"md")&amp;" Days"))</f>
        <v>6 Years, 10 Months &amp; 9 Days</v>
      </c>
      <c r="AF24" s="78"/>
      <c r="AG24" s="78"/>
      <c r="AH24" s="78"/>
      <c r="AI24" s="78"/>
      <c r="AJ24" s="78"/>
      <c r="AK24" s="78"/>
      <c r="AL24" s="78"/>
      <c r="AM24" s="73">
        <f ca="1">IF(ISBLANK($J$15),"",ROUND((DATEDIF($J$15,TODAY(),"y"))+((DATEDIF($J$15,TODAY(),"ym"))/12)+((DATEDIF($J$15,TODAY(),"md"))/365),3))</f>
        <v>6.8579999999999997</v>
      </c>
      <c r="AN24" s="73"/>
      <c r="AO24" s="73"/>
      <c r="AP24" s="73"/>
    </row>
    <row r="25" spans="2:77" x14ac:dyDescent="0.25">
      <c r="B25" s="6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7"/>
      <c r="Y25" s="72">
        <v>2</v>
      </c>
      <c r="Z25" s="47" t="s">
        <v>7</v>
      </c>
      <c r="AE25" s="78" t="str">
        <f>IF(OR(ISBLANK($J$15),ISBLANK($J$19)),"",(""&amp;DATEDIF($J$15,$J$19,"y")&amp;" Years, "&amp;DATEDIF($J$15,$J$19,"ym")&amp;" Months &amp; "&amp;DATEDIF($J$15,$J$19,"md")&amp;" Days"))</f>
        <v>2 Years, 0 Months &amp; 2 Days</v>
      </c>
      <c r="AF25" s="78"/>
      <c r="AG25" s="78"/>
      <c r="AH25" s="78"/>
      <c r="AI25" s="78"/>
      <c r="AJ25" s="78"/>
      <c r="AK25" s="78"/>
      <c r="AL25" s="78"/>
      <c r="AM25" s="73">
        <f>IF(OR(ISBLANK($J$15),ISBLANK($J$19)),"",ROUND((DATEDIF($J$15,$J$19,"y"))+((DATEDIF($J$15,$J$19,"ym"))/12)+((DATEDIF($J$15,$J$19,"md"))/365),3))</f>
        <v>2.0049999999999999</v>
      </c>
      <c r="AN25" s="73"/>
      <c r="AO25" s="73"/>
      <c r="AP25" s="73"/>
    </row>
    <row r="26" spans="2:77" x14ac:dyDescent="0.25">
      <c r="B26" s="6"/>
      <c r="C26" s="23"/>
      <c r="D26" s="85" t="s">
        <v>3</v>
      </c>
      <c r="E26" s="86"/>
      <c r="F26" s="8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7"/>
    </row>
    <row r="27" spans="2:77" x14ac:dyDescent="0.25">
      <c r="B27" s="6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7"/>
      <c r="Y27" s="48">
        <v>2</v>
      </c>
      <c r="Z27" s="47" t="str">
        <f>IF(OR($Y$27=1,$Y$27=3),$Z$28,IF($Y$27=2,$Z$29,""))</f>
        <v>Due to resignation by employee</v>
      </c>
      <c r="AF27" s="98" t="str">
        <f ca="1">IF(OR($Y$27=1,$Y$27=3),$AF$32,IF($Y$27=2,$AF$34,""))</f>
        <v>2/3 x (1/2 x Gross Salary x 5 yrs.)  +  2/3 x (1 x Gross Salary x 1.858 yrs.)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BJ27" s="75">
        <f ca="1">IF(OR($Y$27=1,$Y$27=3),$BJ$28,IF($Y$27=2,$BJ$29,""))</f>
        <v>2000</v>
      </c>
      <c r="BK27" s="75"/>
      <c r="BL27" s="75"/>
      <c r="BM27" s="75"/>
      <c r="BN27" s="75">
        <f ca="1">IF(OR($Y$27=1,$Y$27=3),$BN$28,IF($Y$27=2,$BN$29,""))</f>
        <v>1486.4</v>
      </c>
      <c r="BO27" s="75"/>
      <c r="BP27" s="75"/>
      <c r="BQ27" s="75"/>
      <c r="BR27" s="75">
        <f ca="1">IF(OR($Y$27=1,$Y$27=3),$BR$28,IF($Y$27=2,$BR$29,""))</f>
        <v>0</v>
      </c>
      <c r="BS27" s="75"/>
      <c r="BT27" s="75"/>
      <c r="BU27" s="75"/>
      <c r="BV27" s="75">
        <f ca="1">IF(OR($Y$27=1,$Y$27=3),$BV$28,IF($Y$27=2,$BV$29,""))</f>
        <v>3486.4</v>
      </c>
      <c r="BW27" s="75"/>
      <c r="BX27" s="75"/>
      <c r="BY27" s="75"/>
    </row>
    <row r="28" spans="2:77" x14ac:dyDescent="0.25">
      <c r="B28" s="6"/>
      <c r="C28" s="23"/>
      <c r="D28" s="92" t="str">
        <f ca="1">IF(ISERROR($AM$23),"","Total Working Days")</f>
        <v>Total Working Days</v>
      </c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24"/>
      <c r="P28" s="24"/>
      <c r="Q28" s="24"/>
      <c r="R28" s="24"/>
      <c r="S28" s="24"/>
      <c r="T28" s="24"/>
      <c r="U28" s="24"/>
      <c r="V28" s="25"/>
      <c r="W28" s="7"/>
      <c r="Y28" s="72">
        <v>1</v>
      </c>
      <c r="Z28" s="47" t="s">
        <v>11</v>
      </c>
      <c r="AF28" s="76"/>
      <c r="AG28" s="76"/>
      <c r="AH28" s="76" t="str">
        <f ca="1">IF($AM$23&gt;4.999,"1/2","1/2")</f>
        <v>1/2</v>
      </c>
      <c r="AI28" s="76"/>
      <c r="AJ28" s="75">
        <f ca="1">IF(ISERROR($AM$23),"",$Y$19)</f>
        <v>1200</v>
      </c>
      <c r="AK28" s="75"/>
      <c r="AL28" s="75"/>
      <c r="AM28" s="75"/>
      <c r="AN28" s="76">
        <f ca="1">IF($AM$23&gt;9.999,5,IF($AM$23&gt;4.999,5,$AM$23))</f>
        <v>5</v>
      </c>
      <c r="AO28" s="76"/>
      <c r="AP28" s="76"/>
      <c r="AQ28" s="76"/>
      <c r="AR28" s="76">
        <f ca="1">IF($AM$23&gt;4.999,1,0)</f>
        <v>1</v>
      </c>
      <c r="AS28" s="76"/>
      <c r="AT28" s="75">
        <f ca="1">IF(ISERROR($AM$23),"",$Y$19)</f>
        <v>1200</v>
      </c>
      <c r="AU28" s="75"/>
      <c r="AV28" s="75"/>
      <c r="AW28" s="75"/>
      <c r="AX28" s="74">
        <f ca="1">ROUND(IF($AM$23&gt;9.999,$AM$23-$AN$28,IF($AM$23&gt;4.999,$AM$23-$AN$28,$AM$23)),3)</f>
        <v>1.8580000000000001</v>
      </c>
      <c r="AY28" s="74"/>
      <c r="AZ28" s="76"/>
      <c r="BA28" s="76"/>
      <c r="BB28" s="76">
        <f ca="1">IF($AM$23&gt;4.999,1,0)</f>
        <v>1</v>
      </c>
      <c r="BC28" s="76"/>
      <c r="BD28" s="75">
        <f ca="1">IF(ISERROR($AM$23),"",$Y$19)</f>
        <v>1200</v>
      </c>
      <c r="BE28" s="75"/>
      <c r="BF28" s="75"/>
      <c r="BG28" s="75"/>
      <c r="BH28" s="74">
        <f ca="1">ROUND(IF($AM$23&gt;9.999,$AM$23-$AN$28-$AX$28,IF($AM$23&gt;4.999,$AM$23-$AN$28-$AX$28,$AM$23)),3)</f>
        <v>0</v>
      </c>
      <c r="BI28" s="74"/>
      <c r="BJ28" s="75">
        <f ca="1">((IF($AH28="1/2",0.5,0.5))*$AJ28*$AN28)</f>
        <v>3000</v>
      </c>
      <c r="BK28" s="75"/>
      <c r="BL28" s="75"/>
      <c r="BM28" s="75"/>
      <c r="BN28" s="75">
        <f ca="1">$AR28*$AT28*$AX28</f>
        <v>2229.6</v>
      </c>
      <c r="BO28" s="75"/>
      <c r="BP28" s="75"/>
      <c r="BQ28" s="75"/>
      <c r="BR28" s="75">
        <f ca="1">($BB28*$BD28*$BH28)</f>
        <v>0</v>
      </c>
      <c r="BS28" s="75"/>
      <c r="BT28" s="75"/>
      <c r="BU28" s="75"/>
      <c r="BV28" s="75">
        <f ca="1">((IF($AH28="1/2",0.5,0.5))*$AJ28*$AN28)+($AR28*$AT28*$AX28)+($BB28*$BD28*$BH28)</f>
        <v>5229.6000000000004</v>
      </c>
      <c r="BW28" s="75"/>
      <c r="BX28" s="75"/>
      <c r="BY28" s="75"/>
    </row>
    <row r="29" spans="2:77" x14ac:dyDescent="0.25">
      <c r="B29" s="6"/>
      <c r="C29" s="23"/>
      <c r="D29" s="26"/>
      <c r="E29" s="27" t="str">
        <f ca="1">IF(OR(ISERROR($AM$23),$AM$23=""),"","=")</f>
        <v>=</v>
      </c>
      <c r="F29" s="26" t="str">
        <f ca="1">IF(ISERROR($AM$23),"",AE23)</f>
        <v>6 Years, 10 Months &amp; 9 Days</v>
      </c>
      <c r="G29" s="26"/>
      <c r="H29" s="26"/>
      <c r="I29" s="26"/>
      <c r="J29" s="26"/>
      <c r="K29" s="26"/>
      <c r="L29" s="26"/>
      <c r="M29" s="26"/>
      <c r="N29" s="26"/>
      <c r="O29" s="24"/>
      <c r="P29" s="24"/>
      <c r="Q29" s="24"/>
      <c r="R29" s="24"/>
      <c r="S29" s="24"/>
      <c r="T29" s="24"/>
      <c r="U29" s="24"/>
      <c r="V29" s="25"/>
      <c r="W29" s="7"/>
      <c r="Y29" s="72">
        <v>2</v>
      </c>
      <c r="Z29" s="47" t="s">
        <v>12</v>
      </c>
      <c r="AF29" s="76" t="str">
        <f ca="1">IF($AM$23&lt;2,0,IF($AM$23&lt;5,"1/3",IF($AM$23&lt;10,"2/3","2/3")))</f>
        <v>2/3</v>
      </c>
      <c r="AG29" s="76"/>
      <c r="AH29" s="76" t="str">
        <f ca="1">IF($AM$23&gt;4.999,"1/2","1/2")</f>
        <v>1/2</v>
      </c>
      <c r="AI29" s="76"/>
      <c r="AJ29" s="75">
        <f ca="1">IF(ISERROR($AM$23),"",$Y$19)</f>
        <v>1200</v>
      </c>
      <c r="AK29" s="75"/>
      <c r="AL29" s="75"/>
      <c r="AM29" s="75"/>
      <c r="AN29" s="76">
        <f ca="1">IF($AM$23&gt;9.999,5,IF($AM$23&gt;4.999,5,$AM$23))</f>
        <v>5</v>
      </c>
      <c r="AO29" s="76"/>
      <c r="AP29" s="76" t="str">
        <f ca="1">IF($AM$23&lt;2,"",IF($AM$23&lt;5,"1/3",IF($AM$23&lt;10,"2/3","2/3")))</f>
        <v>2/3</v>
      </c>
      <c r="AQ29" s="76"/>
      <c r="AR29" s="76">
        <f ca="1">IF($AM$23&gt;4.999,1,0)</f>
        <v>1</v>
      </c>
      <c r="AS29" s="76"/>
      <c r="AT29" s="75">
        <f ca="1">IF(ISERROR($AM$23),"",$Y$19)</f>
        <v>1200</v>
      </c>
      <c r="AU29" s="75"/>
      <c r="AV29" s="75"/>
      <c r="AW29" s="75"/>
      <c r="AX29" s="74">
        <f ca="1">ROUND(IF($AM$23&gt;9.999,5,IF($AM$23&gt;4.999,$AM$23-$AN$29,$AM$23)),3)</f>
        <v>1.8580000000000001</v>
      </c>
      <c r="AY29" s="74"/>
      <c r="AZ29" s="76" t="str">
        <f ca="1">IF($AM$23&lt;2,"",IF($AM$23&lt;5,"1/3",IF($AM$23&lt;10,"2/3",1)))</f>
        <v>2/3</v>
      </c>
      <c r="BA29" s="76"/>
      <c r="BB29" s="76">
        <f ca="1">IF($AM$23&gt;4.999,1,0)</f>
        <v>1</v>
      </c>
      <c r="BC29" s="76"/>
      <c r="BD29" s="75">
        <f ca="1">IF(ISERROR($AM$23),"",$Y$19)</f>
        <v>1200</v>
      </c>
      <c r="BE29" s="75"/>
      <c r="BF29" s="75"/>
      <c r="BG29" s="75"/>
      <c r="BH29" s="74">
        <f ca="1">ROUND(IF($AM$23&gt;9.999,$AM$23-$AN$29-$AX$29,IF($AM$23&gt;4.999,$AM$23-$AN$29-$AX$29,$AM$23)),3)</f>
        <v>0</v>
      </c>
      <c r="BI29" s="74"/>
      <c r="BJ29" s="75">
        <f ca="1">((IF(AF$29="1/3",1/3,IF(AF$29="2/3",2/3)))*(IF($AH29="1/2",0.5,0.5))*$AJ29*$AN29)</f>
        <v>2000</v>
      </c>
      <c r="BK29" s="75"/>
      <c r="BL29" s="75"/>
      <c r="BM29" s="75"/>
      <c r="BN29" s="75">
        <f ca="1">(IF(AP29="1/3",1/3,IF(AP29="2/3",2/3)))*$AR29*$AT29*$AX29</f>
        <v>1486.4</v>
      </c>
      <c r="BO29" s="75"/>
      <c r="BP29" s="75"/>
      <c r="BQ29" s="75"/>
      <c r="BR29" s="75">
        <f ca="1">(AZ29*$BB29*$BD29*$BH29)</f>
        <v>0</v>
      </c>
      <c r="BS29" s="75"/>
      <c r="BT29" s="75"/>
      <c r="BU29" s="75"/>
      <c r="BV29" s="75">
        <f ca="1">((IF(AF$29="1/3",1/3,IF(AF$29="2/3",2/3)))*(IF($AH29="1/2",0.5,0.5))*$AJ29*$AN29)+((IF(AP29="1/3",1/3,IF(AP29="2/3",2/3)))*$AR29*$AT29*$AX29)+($AZ$29*$BB29*$BD29*$BH29)</f>
        <v>3486.4</v>
      </c>
      <c r="BW29" s="75"/>
      <c r="BX29" s="75"/>
      <c r="BY29" s="75"/>
    </row>
    <row r="30" spans="2:77" ht="12" customHeight="1" x14ac:dyDescent="0.25">
      <c r="B30" s="6"/>
      <c r="C30" s="23"/>
      <c r="D30" s="26"/>
      <c r="E30" s="26"/>
      <c r="F30" s="26" t="str">
        <f ca="1">IF(OR(ISERROR($AM$23),$AM$23=""),"","or")</f>
        <v>or</v>
      </c>
      <c r="G30" s="97">
        <f ca="1">IF(ISERROR($AM$23),"",AM23)</f>
        <v>6.8579999999999997</v>
      </c>
      <c r="H30" s="97"/>
      <c r="I30" s="97"/>
      <c r="J30" s="97"/>
      <c r="K30" s="26"/>
      <c r="L30" s="26"/>
      <c r="M30" s="26"/>
      <c r="N30" s="26"/>
      <c r="O30" s="24"/>
      <c r="P30" s="24"/>
      <c r="Q30" s="24"/>
      <c r="R30" s="24"/>
      <c r="S30" s="24"/>
      <c r="T30" s="24"/>
      <c r="U30" s="24"/>
      <c r="V30" s="25"/>
      <c r="W30" s="7"/>
      <c r="Y30" s="72">
        <v>3</v>
      </c>
      <c r="Z30" s="47" t="s">
        <v>13</v>
      </c>
      <c r="AF30" s="76"/>
      <c r="AG30" s="76"/>
      <c r="AH30" s="76" t="str">
        <f ca="1">AH28</f>
        <v>1/2</v>
      </c>
      <c r="AI30" s="76"/>
      <c r="AJ30" s="75">
        <f ca="1">AJ28</f>
        <v>1200</v>
      </c>
      <c r="AK30" s="75"/>
      <c r="AL30" s="75"/>
      <c r="AM30" s="75"/>
      <c r="AN30" s="76">
        <f ca="1">AN28</f>
        <v>5</v>
      </c>
      <c r="AO30" s="76"/>
      <c r="AP30" s="76"/>
      <c r="AQ30" s="76"/>
      <c r="AR30" s="76">
        <f ca="1">AR28</f>
        <v>1</v>
      </c>
      <c r="AS30" s="76"/>
      <c r="AT30" s="75">
        <f ca="1">AT28</f>
        <v>1200</v>
      </c>
      <c r="AU30" s="75"/>
      <c r="AV30" s="75"/>
      <c r="AW30" s="75"/>
      <c r="AX30" s="74">
        <f ca="1">AX28</f>
        <v>1.8580000000000001</v>
      </c>
      <c r="AY30" s="76"/>
      <c r="AZ30" s="76"/>
      <c r="BA30" s="76"/>
      <c r="BB30" s="76">
        <f ca="1">BB28</f>
        <v>1</v>
      </c>
      <c r="BC30" s="76"/>
      <c r="BD30" s="75">
        <f ca="1">BD28</f>
        <v>1200</v>
      </c>
      <c r="BE30" s="75"/>
      <c r="BF30" s="75"/>
      <c r="BG30" s="75"/>
      <c r="BH30" s="74">
        <f ca="1">BH28</f>
        <v>0</v>
      </c>
      <c r="BI30" s="76"/>
      <c r="BJ30" s="75">
        <f ca="1">BJ28</f>
        <v>3000</v>
      </c>
      <c r="BK30" s="75"/>
      <c r="BL30" s="75"/>
      <c r="BM30" s="75"/>
      <c r="BN30" s="75">
        <f ca="1">BN28</f>
        <v>2229.6</v>
      </c>
      <c r="BO30" s="75"/>
      <c r="BP30" s="75"/>
      <c r="BQ30" s="75"/>
      <c r="BR30" s="75">
        <f ca="1">BR28</f>
        <v>0</v>
      </c>
      <c r="BS30" s="75"/>
      <c r="BT30" s="75"/>
      <c r="BU30" s="75"/>
      <c r="BV30" s="75">
        <f ca="1">BV28</f>
        <v>5229.6000000000004</v>
      </c>
      <c r="BW30" s="75"/>
      <c r="BX30" s="75"/>
      <c r="BY30" s="75"/>
    </row>
    <row r="31" spans="2:77" ht="6" customHeight="1" x14ac:dyDescent="0.25">
      <c r="B31" s="6"/>
      <c r="C31" s="23"/>
      <c r="D31" s="2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4"/>
      <c r="P31" s="24"/>
      <c r="Q31" s="24"/>
      <c r="R31" s="24"/>
      <c r="S31" s="24"/>
      <c r="T31" s="24"/>
      <c r="U31" s="24"/>
      <c r="V31" s="25"/>
      <c r="W31" s="7"/>
    </row>
    <row r="32" spans="2:77" x14ac:dyDescent="0.25">
      <c r="B32" s="6"/>
      <c r="C32" s="23"/>
      <c r="D32" s="92" t="str">
        <f ca="1">IF(ISERROR($AM$23),"","Gross Salary (Basic + Transpo + Housing)")</f>
        <v>Gross Salary (Basic + Transpo + Housing)</v>
      </c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24"/>
      <c r="P32" s="24"/>
      <c r="Q32" s="24"/>
      <c r="R32" s="24"/>
      <c r="S32" s="24"/>
      <c r="T32" s="24"/>
      <c r="U32" s="24"/>
      <c r="V32" s="25"/>
      <c r="W32" s="7"/>
      <c r="AF32" s="47" t="str">
        <f ca="1">IF($AM$23&lt;5,CONCATENATE($AF$28,"  (",$AH$28," x"," Gross Salary x ",$AN$28," yrs.)"),CONCATENATE($AF$28,"  (",$AH$28," x"," Gross Salary x ",$AN$28," yrs.)  +  ",$AP$28," (",$AR$28," x ","Gross Salary x ",$AX$28," yrs.)"))</f>
        <v xml:space="preserve">  (1/2 x Gross Salary x 5 yrs.)  +   (1 x Gross Salary x 1.858 yrs.)</v>
      </c>
    </row>
    <row r="33" spans="2:36" ht="3.75" customHeight="1" x14ac:dyDescent="0.25">
      <c r="B33" s="6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7"/>
    </row>
    <row r="34" spans="2:36" x14ac:dyDescent="0.25">
      <c r="B34" s="6"/>
      <c r="C34" s="23"/>
      <c r="D34" s="24"/>
      <c r="E34" s="27" t="str">
        <f ca="1">IF(OR(ISERROR($AM$23),$AM$23=""),"","=")</f>
        <v>=</v>
      </c>
      <c r="F34" s="96" t="str">
        <f ca="1">IF(ISERROR($AM$23),"",CONCATENATE("SR ",$K$9," + ","SR ",$K$11," + ","SR ",$K$13))</f>
        <v>SR  + SR 1200 + SR 0</v>
      </c>
      <c r="G34" s="96"/>
      <c r="H34" s="96"/>
      <c r="I34" s="96"/>
      <c r="J34" s="96"/>
      <c r="K34" s="96"/>
      <c r="L34" s="96"/>
      <c r="M34" s="96"/>
      <c r="N34" s="96"/>
      <c r="O34" s="24"/>
      <c r="P34" s="24"/>
      <c r="Q34" s="24"/>
      <c r="R34" s="24"/>
      <c r="S34" s="24"/>
      <c r="T34" s="24"/>
      <c r="U34" s="24"/>
      <c r="V34" s="25"/>
      <c r="W34" s="7"/>
      <c r="AF34" s="47" t="str">
        <f ca="1">IF($AM$23&lt;2,"No End of Service Benefits",IF($AM$23&lt;5,CONCATENATE($AF$29," x (",$AH$29," x"," Gross Salary x ",$AN$29," yrs.)"),IF($AM$23&lt;10,CONCATENATE($AF$29," x (",$AH$29," x"," Gross Salary x ",$AN$29," yrs.)  +  ",$AP$29," x (",$AR$29," x ","Gross Salary x ",$AX$29," yrs.)"),CONCATENATE($AF$29," x (",$AH$29," x Gross Salary x ",$AN$29," yrs.)  +  ",$AP$29," x (",$AR$29," x Gross Salary x ",$AX$29," yrs.)  +  ",$AZ$29," x (",$BB$29," x Gross Salary x ",$BH$29," yrs.)"))))</f>
        <v>2/3 x (1/2 x Gross Salary x 5 yrs.)  +  2/3 x (1 x Gross Salary x 1.858 yrs.)</v>
      </c>
    </row>
    <row r="35" spans="2:36" x14ac:dyDescent="0.25">
      <c r="B35" s="6"/>
      <c r="C35" s="23"/>
      <c r="D35" s="24"/>
      <c r="E35" s="27" t="str">
        <f ca="1">IF(OR(ISERROR($AM$23),$AM$23=""),"","=")</f>
        <v>=</v>
      </c>
      <c r="F35" s="96">
        <f ca="1">IF(ISERROR($AM$23),"",Y19)</f>
        <v>1200</v>
      </c>
      <c r="G35" s="96"/>
      <c r="H35" s="96"/>
      <c r="I35" s="96"/>
      <c r="J35" s="96"/>
      <c r="K35" s="9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7"/>
      <c r="AF35" s="47" t="str">
        <f ca="1">AF32</f>
        <v xml:space="preserve">  (1/2 x Gross Salary x 5 yrs.)  +   (1 x Gross Salary x 1.858 yrs.)</v>
      </c>
    </row>
    <row r="36" spans="2:36" ht="8.25" customHeight="1" x14ac:dyDescent="0.25">
      <c r="B36" s="6"/>
      <c r="C36" s="23"/>
      <c r="D36" s="2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4"/>
      <c r="P36" s="24"/>
      <c r="Q36" s="24"/>
      <c r="R36" s="24"/>
      <c r="S36" s="24"/>
      <c r="T36" s="24"/>
      <c r="U36" s="24"/>
      <c r="V36" s="25"/>
      <c r="W36" s="7"/>
    </row>
    <row r="37" spans="2:36" x14ac:dyDescent="0.25">
      <c r="B37" s="6"/>
      <c r="C37" s="23"/>
      <c r="D37" s="92" t="str">
        <f ca="1">IF(ISERROR($AM$23),"","End of Service Benefits (ESB)")</f>
        <v>End of Service Benefits (ESB)</v>
      </c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24"/>
      <c r="P37" s="24"/>
      <c r="Q37" s="24"/>
      <c r="R37" s="24"/>
      <c r="S37" s="24"/>
      <c r="T37" s="24"/>
      <c r="U37" s="24"/>
      <c r="V37" s="25"/>
      <c r="W37" s="7"/>
    </row>
    <row r="38" spans="2:36" ht="3.75" customHeight="1" x14ac:dyDescent="0.25">
      <c r="B38" s="6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7"/>
    </row>
    <row r="39" spans="2:36" x14ac:dyDescent="0.25">
      <c r="B39" s="6"/>
      <c r="C39" s="23"/>
      <c r="D39" s="24"/>
      <c r="E39" s="27" t="str">
        <f ca="1">IF(OR(ISERROR($AM$23),$AM$23=""),"","=")</f>
        <v>=</v>
      </c>
      <c r="F39" s="26" t="str">
        <f ca="1">IF(ISERROR($AM$23),"",AF27)</f>
        <v>2/3 x (1/2 x Gross Salary x 5 yrs.)  +  2/3 x (1 x Gross Salary x 1.858 yrs.)</v>
      </c>
      <c r="G39" s="29"/>
      <c r="H39" s="46"/>
      <c r="I39" s="46"/>
      <c r="J39" s="29"/>
      <c r="K39" s="45"/>
      <c r="L39" s="45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7"/>
      <c r="AH39" s="51"/>
      <c r="AI39" s="51"/>
      <c r="AJ39" s="51"/>
    </row>
    <row r="40" spans="2:36" x14ac:dyDescent="0.25">
      <c r="B40" s="6"/>
      <c r="C40" s="23"/>
      <c r="D40" s="24"/>
      <c r="E40" s="27" t="str">
        <f ca="1">IF(OR(ISERROR($AM$23),$AM$23="",$F$39="No End of Service Benefits"),"","=")</f>
        <v>=</v>
      </c>
      <c r="F40" s="24"/>
      <c r="G40" s="100">
        <f ca="1">IF(OR(ISERROR($AM$23),$AM$23="",$F$39="No End of Service Benefits"),"",$BJ$27)</f>
        <v>2000</v>
      </c>
      <c r="H40" s="100"/>
      <c r="I40" s="100"/>
      <c r="J40" s="100"/>
      <c r="K40" s="54" t="str">
        <f ca="1">IF(OR(ISERROR($AM$23),$AM$23="",$F$39="No End of Service Benefits"),"",IF($AM$23&lt;5,"","+"))</f>
        <v>+</v>
      </c>
      <c r="L40" s="95">
        <f ca="1">IF(OR(ISERROR($AM$23),$AM$23="",$F$39="No End of Service Benefits"),"",IF($AM$23&lt;5,"",$BN$27))</f>
        <v>1486.4</v>
      </c>
      <c r="M40" s="95"/>
      <c r="N40" s="95"/>
      <c r="O40" s="95"/>
      <c r="P40" s="26" t="str">
        <f ca="1">IF(OR(ISERROR($AM$23),$AM$23="",$F$39="No End of Service Benefits"),"",IF(OR(Y27=1,$AM$23&lt;10),"","+"))</f>
        <v/>
      </c>
      <c r="Q40" s="95" t="str">
        <f ca="1">IF(OR(ISERROR($AM$23),$AM$23="",$F$39="No End of Service Benefits"),"",IF(OR(Y27=1,$AM$23&lt;10),"",BR27))</f>
        <v/>
      </c>
      <c r="R40" s="95"/>
      <c r="S40" s="95"/>
      <c r="T40" s="95"/>
      <c r="U40" s="24"/>
      <c r="V40" s="25"/>
      <c r="W40" s="7"/>
      <c r="AH40" s="51"/>
      <c r="AI40" s="51"/>
      <c r="AJ40" s="51"/>
    </row>
    <row r="41" spans="2:36" x14ac:dyDescent="0.25">
      <c r="B41" s="6"/>
      <c r="C41" s="23"/>
      <c r="D41" s="24"/>
      <c r="E41" s="27" t="str">
        <f ca="1">IF(OR(ISERROR($AM$23),$AM$23="",$F$39="No End of Service Benefits"),"",IF($AM$23&lt;5,"","="))</f>
        <v>=</v>
      </c>
      <c r="F41" s="24"/>
      <c r="G41" s="91">
        <f ca="1">IF(OR(ISERROR($AM$23),$AM$23="",$F$39="No End of Service Benefits"),"",IF($AM$23&lt;5,"",$BV$27))</f>
        <v>3486.4</v>
      </c>
      <c r="H41" s="91"/>
      <c r="I41" s="91"/>
      <c r="J41" s="9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7"/>
      <c r="AJ41" s="51"/>
    </row>
    <row r="42" spans="2:36" x14ac:dyDescent="0.25">
      <c r="B42" s="6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7"/>
      <c r="AG42" s="51"/>
      <c r="AH42" s="51"/>
      <c r="AI42" s="51"/>
      <c r="AJ42" s="51"/>
    </row>
    <row r="43" spans="2:36" ht="20.25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</row>
    <row r="44" spans="2:36" ht="6" customHeight="1" x14ac:dyDescent="0.25"/>
    <row r="45" spans="2:36" ht="15" customHeight="1" x14ac:dyDescent="0.25">
      <c r="B45" s="101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2:36" x14ac:dyDescent="0.2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2:36" x14ac:dyDescent="0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2:36" x14ac:dyDescent="0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77" ht="6" customHeigh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4"/>
      <c r="P49" s="44"/>
      <c r="Q49" s="44"/>
      <c r="R49" s="44"/>
      <c r="S49" s="44"/>
      <c r="T49" s="53"/>
      <c r="U49" s="44"/>
      <c r="V49" s="36"/>
      <c r="W49" s="36"/>
    </row>
    <row r="50" spans="1:77" x14ac:dyDescent="0.25">
      <c r="B50" s="37" t="s">
        <v>10</v>
      </c>
      <c r="C50" s="38"/>
      <c r="D50" s="38"/>
      <c r="E50" s="3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77" s="41" customFormat="1" ht="10.5" customHeight="1" x14ac:dyDescent="0.2">
      <c r="A51" s="39"/>
      <c r="B51" s="40"/>
      <c r="C51" s="40"/>
      <c r="D51" s="40"/>
      <c r="E51" s="99" t="s">
        <v>9</v>
      </c>
      <c r="F51" s="99"/>
      <c r="G51" s="99"/>
      <c r="H51" s="99"/>
      <c r="I51" s="99"/>
      <c r="J51" s="55"/>
      <c r="K51" s="55"/>
      <c r="L51" s="39"/>
      <c r="X51" s="5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</row>
    <row r="52" spans="1:77" s="41" customFormat="1" ht="10.5" customHeight="1" x14ac:dyDescent="0.2">
      <c r="A52" s="39"/>
      <c r="B52" s="40"/>
      <c r="C52" s="99" t="s">
        <v>14</v>
      </c>
      <c r="D52" s="99"/>
      <c r="E52" s="99"/>
      <c r="F52" s="99"/>
      <c r="G52" s="99"/>
      <c r="H52" s="99"/>
      <c r="I52" s="99"/>
      <c r="J52" s="59"/>
      <c r="L52" s="39"/>
      <c r="X52" s="5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:77" x14ac:dyDescent="0.25">
      <c r="J53" s="56"/>
      <c r="K53" s="56"/>
    </row>
    <row r="54" spans="1:77" x14ac:dyDescent="0.25">
      <c r="J54" s="56"/>
    </row>
  </sheetData>
  <sheetProtection algorithmName="SHA-512" hashValue="xu7hRnTjx7/rNnz+YcqY5MZJOIajUPlCBqrc+nVwFnzNy61yrTzJU4LIdPT7Nvp1WzGf3rnKoC8aNpTOY10AuA==" saltValue="57maDbebB8Cosdx4w7rogA==" spinCount="100000" sheet="1" objects="1" scenarios="1" selectLockedCells="1"/>
  <customSheetViews>
    <customSheetView guid="{7B07F40D-B1B8-4D63-B6C2-29767518D60B}" showGridLines="0">
      <selection activeCell="H9" sqref="H9:K9"/>
      <pageMargins left="0.7" right="0.7" top="0.75" bottom="0.75" header="0.3" footer="0.3"/>
      <pageSetup orientation="portrait" r:id="rId1"/>
    </customSheetView>
  </customSheetViews>
  <mergeCells count="85">
    <mergeCell ref="Y3:AE3"/>
    <mergeCell ref="BV29:BY29"/>
    <mergeCell ref="AP29:AQ29"/>
    <mergeCell ref="AN30:AO30"/>
    <mergeCell ref="AH29:AI29"/>
    <mergeCell ref="AJ29:AM29"/>
    <mergeCell ref="AN29:AO29"/>
    <mergeCell ref="AH30:AI30"/>
    <mergeCell ref="BN30:BQ30"/>
    <mergeCell ref="BR29:BU29"/>
    <mergeCell ref="BR30:BU30"/>
    <mergeCell ref="BD30:BG30"/>
    <mergeCell ref="BH30:BI30"/>
    <mergeCell ref="BB29:BC29"/>
    <mergeCell ref="BJ29:BM29"/>
    <mergeCell ref="BN29:BQ29"/>
    <mergeCell ref="E51:I51"/>
    <mergeCell ref="C52:I52"/>
    <mergeCell ref="G40:J40"/>
    <mergeCell ref="BJ30:BM30"/>
    <mergeCell ref="AF29:AG29"/>
    <mergeCell ref="AJ30:AM30"/>
    <mergeCell ref="B45:W48"/>
    <mergeCell ref="L40:O40"/>
    <mergeCell ref="BB30:BC30"/>
    <mergeCell ref="AZ29:BA29"/>
    <mergeCell ref="AZ30:BA30"/>
    <mergeCell ref="BD29:BG29"/>
    <mergeCell ref="BH29:BI29"/>
    <mergeCell ref="BV27:BY27"/>
    <mergeCell ref="AF28:AG28"/>
    <mergeCell ref="AF30:AG30"/>
    <mergeCell ref="AP28:AQ28"/>
    <mergeCell ref="AP30:AQ30"/>
    <mergeCell ref="AF27:AY27"/>
    <mergeCell ref="BV28:BY28"/>
    <mergeCell ref="AR30:AS30"/>
    <mergeCell ref="AT30:AW30"/>
    <mergeCell ref="AX30:AY30"/>
    <mergeCell ref="BV30:BY30"/>
    <mergeCell ref="AR29:AS29"/>
    <mergeCell ref="AT29:AW29"/>
    <mergeCell ref="AX29:AY29"/>
    <mergeCell ref="AR28:AS28"/>
    <mergeCell ref="AN28:AO28"/>
    <mergeCell ref="AE25:AL25"/>
    <mergeCell ref="AT28:AW28"/>
    <mergeCell ref="AH28:AI28"/>
    <mergeCell ref="G41:J41"/>
    <mergeCell ref="D37:N37"/>
    <mergeCell ref="Q40:T40"/>
    <mergeCell ref="AJ28:AM28"/>
    <mergeCell ref="D32:N32"/>
    <mergeCell ref="F35:K35"/>
    <mergeCell ref="G30:J30"/>
    <mergeCell ref="D28:N28"/>
    <mergeCell ref="F34:N34"/>
    <mergeCell ref="C3:V3"/>
    <mergeCell ref="C4:V4"/>
    <mergeCell ref="D26:F26"/>
    <mergeCell ref="D7:F7"/>
    <mergeCell ref="K9:N9"/>
    <mergeCell ref="K13:N13"/>
    <mergeCell ref="J15:O15"/>
    <mergeCell ref="J19:O19"/>
    <mergeCell ref="Y21:AB21"/>
    <mergeCell ref="AE24:AL24"/>
    <mergeCell ref="AE23:AL23"/>
    <mergeCell ref="K11:N11"/>
    <mergeCell ref="Y19:AB19"/>
    <mergeCell ref="Y17:AB17"/>
    <mergeCell ref="AM23:AP23"/>
    <mergeCell ref="AM24:AP24"/>
    <mergeCell ref="AM25:AP25"/>
    <mergeCell ref="AX28:AY28"/>
    <mergeCell ref="BR27:BU27"/>
    <mergeCell ref="BR28:BU28"/>
    <mergeCell ref="AZ28:BA28"/>
    <mergeCell ref="BD28:BG28"/>
    <mergeCell ref="BH28:BI28"/>
    <mergeCell ref="BB28:BC28"/>
    <mergeCell ref="BN27:BQ27"/>
    <mergeCell ref="BJ28:BM28"/>
    <mergeCell ref="BN28:BQ28"/>
    <mergeCell ref="BJ27:BM27"/>
  </mergeCells>
  <conditionalFormatting sqref="J19">
    <cfRule type="expression" dxfId="12" priority="15">
      <formula>$Y$23=1</formula>
    </cfRule>
  </conditionalFormatting>
  <conditionalFormatting sqref="C50:W50 B45 E51">
    <cfRule type="expression" dxfId="11" priority="12">
      <formula>$AC$21=1</formula>
    </cfRule>
  </conditionalFormatting>
  <conditionalFormatting sqref="B50">
    <cfRule type="expression" dxfId="10" priority="11">
      <formula>$AC$21=1</formula>
    </cfRule>
  </conditionalFormatting>
  <conditionalFormatting sqref="B25:W26 B27:N31 O27:W32 B34:D34 B36:N39 B35:E35 O34:W39 B40:W43">
    <cfRule type="expression" dxfId="9" priority="10">
      <formula>$AC$21=1</formula>
    </cfRule>
  </conditionalFormatting>
  <conditionalFormatting sqref="W24 B24">
    <cfRule type="expression" dxfId="8" priority="9">
      <formula>$AC$21=1</formula>
    </cfRule>
  </conditionalFormatting>
  <conditionalFormatting sqref="B32:N32">
    <cfRule type="expression" dxfId="7" priority="8">
      <formula>$AC$21=1</formula>
    </cfRule>
  </conditionalFormatting>
  <conditionalFormatting sqref="L35:N35">
    <cfRule type="expression" dxfId="6" priority="7">
      <formula>$AC$21=1</formula>
    </cfRule>
  </conditionalFormatting>
  <conditionalFormatting sqref="F35">
    <cfRule type="expression" dxfId="5" priority="6">
      <formula>$AC$21=1</formula>
    </cfRule>
  </conditionalFormatting>
  <conditionalFormatting sqref="E34">
    <cfRule type="expression" dxfId="4" priority="5">
      <formula>$AC$21=1</formula>
    </cfRule>
  </conditionalFormatting>
  <conditionalFormatting sqref="F34">
    <cfRule type="expression" dxfId="3" priority="4">
      <formula>$AC$21=1</formula>
    </cfRule>
  </conditionalFormatting>
  <conditionalFormatting sqref="B33:W33">
    <cfRule type="expression" dxfId="2" priority="3">
      <formula>$AC$21=1</formula>
    </cfRule>
  </conditionalFormatting>
  <conditionalFormatting sqref="C52">
    <cfRule type="expression" dxfId="1" priority="2">
      <formula>$AC$21=1</formula>
    </cfRule>
  </conditionalFormatting>
  <conditionalFormatting sqref="Y3:AE3">
    <cfRule type="expression" dxfId="0" priority="1">
      <formula>$K$9&lt;1</formula>
    </cfRule>
  </conditionalFormatting>
  <dataValidations count="4">
    <dataValidation type="custom" operator="greaterThan" allowBlank="1" showInputMessage="1" showErrorMessage="1" error="The Date input is Wrong. Please try again." prompt="MM/DD/YYYY" sqref="J19:O19">
      <formula1>J19&gt;J15</formula1>
    </dataValidation>
    <dataValidation allowBlank="1" showInputMessage="1" showErrorMessage="1" prompt="i.e. Basic Salary (3 Times) Divided by 12 months" sqref="K13:N13"/>
    <dataValidation type="custom" allowBlank="1" showInputMessage="1" showErrorMessage="1" error="The Date input is either Wrong or Change the Category Resignation to proceed." prompt="MM/DD/YYYY" sqref="J15:N15">
      <formula1>J15&lt;Y21</formula1>
    </dataValidation>
    <dataValidation type="custom" allowBlank="1" showInputMessage="1" showErrorMessage="1" error="The Date input is either Wrong or Change the Category Resignation to proceed." prompt="MM/DD/YYYY" sqref="O15">
      <formula1>O15&lt;#REF!</formula1>
    </dataValidation>
  </dataValidations>
  <hyperlinks>
    <hyperlink ref="E51" r:id="rId2"/>
    <hyperlink ref="C52" r:id="rId3"/>
    <hyperlink ref="Y3:AE3" location="Example!A1" display="Click here for Example "/>
  </hyperlinks>
  <printOptions horizontalCentered="1"/>
  <pageMargins left="0.7" right="0.7" top="0.75" bottom="0.75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7" name="Drop Down 1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19050</xdr:rowOff>
                  </from>
                  <to>
                    <xdr:col>13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Drop Down 3">
              <controlPr defaultSize="0" autoLine="0" autoPict="0">
                <anchor moveWithCells="1">
                  <from>
                    <xdr:col>3</xdr:col>
                    <xdr:colOff>247650</xdr:colOff>
                    <xdr:row>18</xdr:row>
                    <xdr:rowOff>9525</xdr:rowOff>
                  </from>
                  <to>
                    <xdr:col>8</xdr:col>
                    <xdr:colOff>180975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showRowColHeaders="0" workbookViewId="0">
      <selection activeCell="B2" sqref="B2:J2"/>
    </sheetView>
  </sheetViews>
  <sheetFormatPr defaultColWidth="2.85546875" defaultRowHeight="15" x14ac:dyDescent="0.25"/>
  <cols>
    <col min="1" max="1" width="2.85546875" style="60"/>
    <col min="2" max="2" width="1.140625" style="60" customWidth="1"/>
    <col min="3" max="16384" width="2.85546875" style="60"/>
  </cols>
  <sheetData>
    <row r="1" spans="2:32" ht="9.75" customHeight="1" thickBot="1" x14ac:dyDescent="0.3"/>
    <row r="2" spans="2:32" ht="17.25" customHeight="1" thickTop="1" thickBot="1" x14ac:dyDescent="0.3">
      <c r="B2" s="106" t="s">
        <v>29</v>
      </c>
      <c r="C2" s="107"/>
      <c r="D2" s="107"/>
      <c r="E2" s="107"/>
      <c r="F2" s="107"/>
      <c r="G2" s="107"/>
      <c r="H2" s="107"/>
      <c r="I2" s="107"/>
      <c r="J2" s="108"/>
    </row>
    <row r="3" spans="2:32" ht="11.25" customHeight="1" thickTop="1" x14ac:dyDescent="0.25"/>
    <row r="4" spans="2:32" x14ac:dyDescent="0.2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3"/>
    </row>
    <row r="5" spans="2:32" ht="18.75" x14ac:dyDescent="0.25">
      <c r="B5" s="64"/>
      <c r="C5" s="65" t="s">
        <v>27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7"/>
    </row>
    <row r="6" spans="2:32" x14ac:dyDescent="0.25">
      <c r="B6" s="6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2:32" ht="30" customHeight="1" x14ac:dyDescent="0.25">
      <c r="B7" s="64"/>
      <c r="C7" s="66"/>
      <c r="D7" s="66"/>
      <c r="E7" s="105" t="s">
        <v>24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67"/>
    </row>
    <row r="8" spans="2:32" x14ac:dyDescent="0.25">
      <c r="B8" s="6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2:32" ht="45" customHeight="1" x14ac:dyDescent="0.25">
      <c r="B9" s="64"/>
      <c r="C9" s="66"/>
      <c r="D9" s="66"/>
      <c r="E9" s="105" t="s">
        <v>25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67"/>
    </row>
    <row r="10" spans="2:32" x14ac:dyDescent="0.25"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2:32" ht="48.75" customHeight="1" x14ac:dyDescent="0.25">
      <c r="B11" s="64"/>
      <c r="C11" s="66"/>
      <c r="D11" s="66"/>
      <c r="E11" s="105" t="s">
        <v>26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67"/>
    </row>
    <row r="12" spans="2:32" x14ac:dyDescent="0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</row>
    <row r="14" spans="2:32" x14ac:dyDescent="0.25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2:32" ht="18.75" x14ac:dyDescent="0.25">
      <c r="B15" s="64"/>
      <c r="C15" s="65" t="s">
        <v>28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2:32" x14ac:dyDescent="0.25">
      <c r="B16" s="64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7"/>
    </row>
    <row r="17" spans="2:32" x14ac:dyDescent="0.25">
      <c r="B17" s="64"/>
      <c r="C17" s="66"/>
      <c r="D17" s="66"/>
      <c r="E17" s="71" t="s">
        <v>20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7"/>
    </row>
    <row r="18" spans="2:32" x14ac:dyDescent="0.25">
      <c r="B18" s="6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2:32" x14ac:dyDescent="0.25">
      <c r="B19" s="64"/>
      <c r="C19" s="66"/>
      <c r="D19" s="66"/>
      <c r="E19" s="71" t="s">
        <v>21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</row>
    <row r="20" spans="2:32" x14ac:dyDescent="0.25">
      <c r="B20" s="6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</row>
    <row r="21" spans="2:32" x14ac:dyDescent="0.25">
      <c r="B21" s="64"/>
      <c r="C21" s="66"/>
      <c r="D21" s="66"/>
      <c r="E21" s="71" t="s">
        <v>22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2:32" x14ac:dyDescent="0.25">
      <c r="B22" s="6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7"/>
    </row>
    <row r="23" spans="2:32" x14ac:dyDescent="0.25">
      <c r="B23" s="64"/>
      <c r="C23" s="66"/>
      <c r="D23" s="66"/>
      <c r="E23" s="71" t="s">
        <v>23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7"/>
    </row>
    <row r="24" spans="2:32" x14ac:dyDescent="0.2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</row>
  </sheetData>
  <sheetProtection algorithmName="SHA-512" hashValue="58RaU0QNgsonV2T4xv8USzFeYCybVAO3UyywVytboUpZiaPl7f9X/T/VY+gwjqAkMbssOXtUI+QuGzs4nKxuIA==" saltValue="R/GMxOTqd9zLfAbjXmeYKg==" spinCount="100000" sheet="1" objects="1" scenarios="1"/>
  <mergeCells count="4">
    <mergeCell ref="E7:AE7"/>
    <mergeCell ref="E9:AE9"/>
    <mergeCell ref="E11:AE11"/>
    <mergeCell ref="B2:J2"/>
  </mergeCells>
  <hyperlinks>
    <hyperlink ref="B2:J2" location="'End of Service KSA'!A1" display="Click here for Example "/>
  </hyperlink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 of Service KSA</vt:lpstr>
      <vt:lpstr>Example</vt:lpstr>
      <vt:lpstr>'End of Service KSA'!Print_Area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 of Service Computations in KSA</dc:title>
  <dc:subject>End of Service Computations in KSA</dc:subject>
  <dc:creator>Hussien Datu</dc:creator>
  <cp:keywords>End of Service; KSA</cp:keywords>
  <dc:description>End of Service Computations in KSA</dc:description>
  <cp:lastModifiedBy>user</cp:lastModifiedBy>
  <cp:revision>01</cp:revision>
  <cp:lastPrinted>2014-10-01T11:06:16Z</cp:lastPrinted>
  <dcterms:created xsi:type="dcterms:W3CDTF">2014-04-02T04:29:34Z</dcterms:created>
  <dcterms:modified xsi:type="dcterms:W3CDTF">2015-07-30T19:28:47Z</dcterms:modified>
  <cp:category>End of Service;KSA</cp:category>
  <cp:version>01</cp:version>
</cp:coreProperties>
</file>